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hmea-my.sharepoint.com/personal/danielle_bos_defriesland_nl/Documents/Documents/"/>
    </mc:Choice>
  </mc:AlternateContent>
  <xr:revisionPtr revIDLastSave="3" documentId="8_{4B3890EA-84EE-4DC2-943D-148CF73413BF}" xr6:coauthVersionLast="45" xr6:coauthVersionMax="45" xr10:uidLastSave="{2E61C844-3AC5-4232-AF41-81C41F47BF84}"/>
  <workbookProtection workbookAlgorithmName="SHA-512" workbookHashValue="FDiaNufMnLX3gsLjwzK/k7uBIC3vJ+fEYtfTIfHTspt/T/8mFxhbmTnvfsAjXQCAMcMtj1e/OMNZDB9B7Jm3nw==" workbookSaltValue="DqMthC33PzTh66Ahllx6Ig==" workbookSpinCount="100000" lockStructure="1"/>
  <bookViews>
    <workbookView xWindow="-120" yWindow="-120" windowWidth="29040" windowHeight="15840" activeTab="3" xr2:uid="{00000000-000D-0000-FFFF-FFFF00000000}"/>
  </bookViews>
  <sheets>
    <sheet name="POH-S" sheetId="1" r:id="rId1"/>
    <sheet name="Nvko" sheetId="5" r:id="rId2"/>
    <sheet name="Blad2" sheetId="2" state="hidden" r:id="rId3"/>
    <sheet name="POH-GGZ" sheetId="3" r:id="rId4"/>
    <sheet name="Praktijkmgt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3" l="1"/>
  <c r="B9" i="2" l="1"/>
  <c r="D8" i="5" l="1"/>
  <c r="C8" i="3"/>
  <c r="C7" i="3"/>
  <c r="C9" i="3" l="1"/>
  <c r="C10" i="3" s="1"/>
  <c r="D14" i="3" s="1"/>
  <c r="D13" i="3" l="1"/>
  <c r="B8" i="2"/>
  <c r="E20" i="2" s="1"/>
  <c r="C36" i="4"/>
  <c r="C38" i="4" s="1"/>
  <c r="C37" i="4"/>
  <c r="C39" i="4" s="1"/>
  <c r="D10" i="4" s="1"/>
  <c r="B6" i="2"/>
  <c r="E19" i="2" s="1"/>
  <c r="B15" i="2"/>
  <c r="B14" i="2"/>
  <c r="B22" i="2" s="1"/>
  <c r="B16" i="2"/>
  <c r="B7" i="2"/>
  <c r="C15" i="2"/>
  <c r="D23" i="2" s="1"/>
  <c r="C14" i="2"/>
  <c r="B23" i="2" s="1"/>
  <c r="D15" i="2"/>
  <c r="D14" i="2"/>
  <c r="D16" i="2"/>
  <c r="E15" i="2"/>
  <c r="D25" i="2" s="1"/>
  <c r="E14" i="2"/>
  <c r="E16" i="2"/>
  <c r="C16" i="2"/>
  <c r="C23" i="2" l="1"/>
  <c r="E23" i="2" s="1"/>
  <c r="E21" i="2"/>
  <c r="B25" i="2"/>
  <c r="C25" i="2" s="1"/>
  <c r="E25" i="2" s="1"/>
  <c r="B24" i="2"/>
  <c r="D24" i="2" s="1"/>
  <c r="D22" i="2"/>
  <c r="C22" i="2"/>
  <c r="D26" i="2"/>
  <c r="E26" i="2" s="1"/>
  <c r="C24" i="2" l="1"/>
  <c r="E24" i="2" s="1"/>
  <c r="E22" i="2"/>
  <c r="D27" i="2"/>
  <c r="C27" i="2" l="1"/>
  <c r="E27" i="2"/>
  <c r="E29" i="2" s="1"/>
  <c r="E30" i="2" l="1"/>
  <c r="E16" i="1" s="1"/>
</calcChain>
</file>

<file path=xl/sharedStrings.xml><?xml version="1.0" encoding="utf-8"?>
<sst xmlns="http://schemas.openxmlformats.org/spreadsheetml/2006/main" count="140" uniqueCount="74">
  <si>
    <t>POH-S</t>
  </si>
  <si>
    <t>Benodigde parameters</t>
  </si>
  <si>
    <t>Aantal uren POH S huisartsenpraktijk</t>
  </si>
  <si>
    <t>Aantal patiënten huisartsenpraktijk</t>
  </si>
  <si>
    <t>Deelname prestatie Integrale Ouderenzorg</t>
  </si>
  <si>
    <t>Aantal ingeschreven verzekerden 75+</t>
  </si>
  <si>
    <t>Vergoeding POH per jaar</t>
  </si>
  <si>
    <t>Normpraktijk</t>
  </si>
  <si>
    <t>Vragenlijst</t>
  </si>
  <si>
    <t>DM II</t>
  </si>
  <si>
    <t>COPD</t>
  </si>
  <si>
    <t>ASTMA</t>
  </si>
  <si>
    <t>CVRM</t>
  </si>
  <si>
    <t>Levert uw praktijk chronische ketenzorg?</t>
  </si>
  <si>
    <t>ja</t>
  </si>
  <si>
    <t>Indien nee, geen vervolg vragen</t>
  </si>
  <si>
    <t>Hoe wordt de chronische zorg geleverd?</t>
  </si>
  <si>
    <t>KZF</t>
  </si>
  <si>
    <t>Dokterscoop</t>
  </si>
  <si>
    <t>In eigen beheer</t>
  </si>
  <si>
    <t>Aantal patiënten</t>
  </si>
  <si>
    <t>Berekening</t>
  </si>
  <si>
    <t>Parameter</t>
  </si>
  <si>
    <t>Via ketenzorg</t>
  </si>
  <si>
    <t>Totaal</t>
  </si>
  <si>
    <t>Uren contract POH-S</t>
  </si>
  <si>
    <t>Uren PIO</t>
  </si>
  <si>
    <t>POH-S in dienst</t>
  </si>
  <si>
    <t>Astma</t>
  </si>
  <si>
    <t>Basis 2,5 uur per normpraktijk</t>
  </si>
  <si>
    <t>Uren vergoeding POH-S</t>
  </si>
  <si>
    <t>Tarief per verzekerde per kwartaal</t>
  </si>
  <si>
    <t>tabel 1: uren voor berekening</t>
  </si>
  <si>
    <t>Catena</t>
  </si>
  <si>
    <t>tabel 2 keuze ja/nee</t>
  </si>
  <si>
    <t>nee</t>
  </si>
  <si>
    <t>tabel 3 ketenzorgorganisatie of eigen beheer</t>
  </si>
  <si>
    <t>POH-GGZ</t>
  </si>
  <si>
    <t>Omschrijving</t>
  </si>
  <si>
    <t>variabelen</t>
  </si>
  <si>
    <t>parameters</t>
  </si>
  <si>
    <t>eenheid</t>
  </si>
  <si>
    <t>uitkomst</t>
  </si>
  <si>
    <t>patiënten</t>
  </si>
  <si>
    <t>Patiënten praktijk</t>
  </si>
  <si>
    <t>uur</t>
  </si>
  <si>
    <t>Module e-health (ja/nee)</t>
  </si>
  <si>
    <t>Module consultatie (ja/nee)</t>
  </si>
  <si>
    <t>Totale "inzet"</t>
  </si>
  <si>
    <t>Berekend tarief per kwartaal per patiënt</t>
  </si>
  <si>
    <t>euro</t>
  </si>
  <si>
    <t>Max Nza tarief (prestatiecode 11201)</t>
  </si>
  <si>
    <t>Tarief per kwartaal per patiënt prestatiecode 11201</t>
  </si>
  <si>
    <t>Tarief per kwartaal per patiënt prestatiecode 31343</t>
  </si>
  <si>
    <t>Praktijkmanagement</t>
  </si>
  <si>
    <t>Aantal uren per normpraktijk</t>
  </si>
  <si>
    <t>Fase (invullen 1 of 2)</t>
  </si>
  <si>
    <t>Inzet conform normuren per praktijk fase 1 (jaar 1 en 2)</t>
  </si>
  <si>
    <t>Inzet conform normuren per praktijk fase 2 (3 en meer)</t>
  </si>
  <si>
    <t>Aantal te vergoeden uren Praktijkmanagement fase 1</t>
  </si>
  <si>
    <t>Aantal te vergoeden uren Praktijkmanagement fase 2</t>
  </si>
  <si>
    <t>Aantal 75-plussers</t>
  </si>
  <si>
    <t>Levert uw praktijk chronische ketenzorg? Indien nee, geen vervolg vragen</t>
  </si>
  <si>
    <t>Deelname en aantal patiënten</t>
  </si>
  <si>
    <t>Inzet vlgs contract POH GGZ (jeugd)</t>
  </si>
  <si>
    <t>DF vergoeding fulltime PM</t>
  </si>
  <si>
    <t>Max DF tarief (prestatiecode 11201+31343)</t>
  </si>
  <si>
    <t>Inzet PM in de praktijk</t>
  </si>
  <si>
    <t>aantal ingeschreven patiënten in de praktijk</t>
  </si>
  <si>
    <t>tarief per kwartaal per verzekerde</t>
  </si>
  <si>
    <t>Netwerkzorg voor kwetsbare ouderen</t>
  </si>
  <si>
    <t>percentage kwetsbare ouderen</t>
  </si>
  <si>
    <t>Tarief per ingeschreven kwetsbare oudere per jaar</t>
  </si>
  <si>
    <t>Deelname prestatie Netwerkzorg voor kwetsbare ouderen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</si>
</sst>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&quot;€&quot;\ * #,##0_ ;_ &quot;€&quot;\ * \-#,##0_ ;_ &quot;€&quot;\ * &quot;-&quot;??_ ;_ @_ "/>
    <numFmt numFmtId="165" formatCode="_ * #,##0_ ;_ * \-#,##0_ ;_ * &quot;-&quot;??_ ;_ @_ "/>
    <numFmt numFmtId="166" formatCode="_ * #,##0.0_ ;_ * \-#,##0.0_ ;_ * &quot;-&quot;??_ ;_ @_ "/>
    <numFmt numFmtId="167" formatCode="_ * #,##0.0_ ;_ * \-#,##0.0_ ;_ * &quot;-&quot;?_ ;_ @_ "/>
    <numFmt numFmtId="168" formatCode="0.0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5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Protection="1"/>
    <xf numFmtId="0" fontId="0" fillId="0" borderId="0" xfId="0" applyFont="1" applyProtection="1"/>
    <xf numFmtId="0" fontId="13" fillId="3" borderId="0" xfId="0" applyFont="1" applyFill="1" applyProtection="1"/>
    <xf numFmtId="0" fontId="0" fillId="3" borderId="0" xfId="0" applyFill="1" applyProtection="1"/>
    <xf numFmtId="0" fontId="15" fillId="3" borderId="0" xfId="0" applyFont="1" applyFill="1" applyProtection="1"/>
    <xf numFmtId="2" fontId="0" fillId="3" borderId="0" xfId="0" applyNumberFormat="1" applyFill="1" applyProtection="1"/>
    <xf numFmtId="1" fontId="0" fillId="3" borderId="0" xfId="0" applyNumberFormat="1" applyFill="1" applyProtection="1"/>
    <xf numFmtId="0" fontId="0" fillId="3" borderId="0" xfId="0" applyFont="1" applyFill="1" applyProtection="1"/>
    <xf numFmtId="44" fontId="0" fillId="3" borderId="0" xfId="1" applyFont="1" applyFill="1" applyProtection="1"/>
    <xf numFmtId="0" fontId="4" fillId="3" borderId="0" xfId="0" applyFont="1" applyFill="1" applyProtection="1"/>
    <xf numFmtId="165" fontId="0" fillId="3" borderId="16" xfId="2" applyNumberFormat="1" applyFont="1" applyFill="1" applyBorder="1" applyProtection="1"/>
    <xf numFmtId="0" fontId="0" fillId="5" borderId="17" xfId="0" applyFill="1" applyBorder="1" applyAlignment="1" applyProtection="1">
      <alignment horizontal="right"/>
      <protection locked="0"/>
    </xf>
    <xf numFmtId="166" fontId="0" fillId="5" borderId="17" xfId="2" applyNumberFormat="1" applyFont="1" applyFill="1" applyBorder="1" applyAlignment="1" applyProtection="1">
      <alignment horizontal="right"/>
      <protection locked="0"/>
    </xf>
    <xf numFmtId="0" fontId="0" fillId="3" borderId="17" xfId="0" applyFill="1" applyBorder="1" applyProtection="1"/>
    <xf numFmtId="0" fontId="0" fillId="3" borderId="17" xfId="0" applyFont="1" applyFill="1" applyBorder="1" applyProtection="1"/>
    <xf numFmtId="0" fontId="0" fillId="3" borderId="18" xfId="0" applyFont="1" applyFill="1" applyBorder="1" applyAlignment="1" applyProtection="1">
      <alignment vertical="top"/>
    </xf>
    <xf numFmtId="165" fontId="0" fillId="3" borderId="17" xfId="2" applyNumberFormat="1" applyFont="1" applyFill="1" applyBorder="1" applyProtection="1"/>
    <xf numFmtId="43" fontId="0" fillId="3" borderId="17" xfId="2" applyFont="1" applyFill="1" applyBorder="1" applyProtection="1"/>
    <xf numFmtId="43" fontId="0" fillId="3" borderId="17" xfId="2" quotePrefix="1" applyFont="1" applyFill="1" applyBorder="1" applyProtection="1"/>
    <xf numFmtId="43" fontId="0" fillId="3" borderId="18" xfId="2" applyFont="1" applyFill="1" applyBorder="1" applyAlignment="1" applyProtection="1">
      <alignment vertical="top"/>
    </xf>
    <xf numFmtId="0" fontId="0" fillId="3" borderId="16" xfId="0" applyFont="1" applyFill="1" applyBorder="1" applyProtection="1"/>
    <xf numFmtId="0" fontId="0" fillId="3" borderId="17" xfId="0" applyFont="1" applyFill="1" applyBorder="1" applyAlignment="1" applyProtection="1">
      <alignment horizontal="left"/>
    </xf>
    <xf numFmtId="43" fontId="0" fillId="6" borderId="17" xfId="2" quotePrefix="1" applyFont="1" applyFill="1" applyBorder="1" applyProtection="1"/>
    <xf numFmtId="43" fontId="0" fillId="6" borderId="18" xfId="2" quotePrefix="1" applyFont="1" applyFill="1" applyBorder="1" applyAlignment="1" applyProtection="1">
      <alignment vertical="top"/>
    </xf>
    <xf numFmtId="0" fontId="0" fillId="3" borderId="20" xfId="0" applyFill="1" applyBorder="1" applyProtection="1"/>
    <xf numFmtId="0" fontId="0" fillId="3" borderId="21" xfId="0" applyFill="1" applyBorder="1" applyProtection="1"/>
    <xf numFmtId="0" fontId="0" fillId="3" borderId="21" xfId="0" applyFont="1" applyFill="1" applyBorder="1" applyProtection="1"/>
    <xf numFmtId="0" fontId="0" fillId="3" borderId="22" xfId="0" applyFont="1" applyFill="1" applyBorder="1" applyAlignment="1" applyProtection="1">
      <alignment vertical="top"/>
    </xf>
    <xf numFmtId="165" fontId="3" fillId="5" borderId="26" xfId="2" applyNumberFormat="1" applyFont="1" applyFill="1" applyBorder="1" applyAlignment="1" applyProtection="1">
      <alignment horizontal="right"/>
      <protection locked="0"/>
    </xf>
    <xf numFmtId="165" fontId="3" fillId="5" borderId="24" xfId="2" applyNumberFormat="1" applyFont="1" applyFill="1" applyBorder="1" applyAlignment="1" applyProtection="1">
      <alignment horizontal="right"/>
      <protection locked="0"/>
    </xf>
    <xf numFmtId="0" fontId="3" fillId="5" borderId="16" xfId="0" applyFont="1" applyFill="1" applyBorder="1" applyAlignment="1" applyProtection="1">
      <alignment horizontal="right"/>
      <protection locked="0"/>
    </xf>
    <xf numFmtId="0" fontId="3" fillId="5" borderId="17" xfId="0" applyFont="1" applyFill="1" applyBorder="1" applyAlignment="1" applyProtection="1">
      <alignment horizontal="right"/>
      <protection locked="0"/>
    </xf>
    <xf numFmtId="0" fontId="3" fillId="5" borderId="18" xfId="0" applyFont="1" applyFill="1" applyBorder="1" applyProtection="1">
      <protection locked="0"/>
    </xf>
    <xf numFmtId="0" fontId="3" fillId="5" borderId="8" xfId="0" applyFont="1" applyFill="1" applyBorder="1" applyAlignment="1" applyProtection="1">
      <alignment horizontal="right"/>
      <protection locked="0"/>
    </xf>
    <xf numFmtId="0" fontId="3" fillId="5" borderId="10" xfId="0" applyFont="1" applyFill="1" applyBorder="1" applyAlignment="1" applyProtection="1">
      <alignment horizontal="right"/>
      <protection locked="0"/>
    </xf>
    <xf numFmtId="0" fontId="3" fillId="5" borderId="29" xfId="0" applyFont="1" applyFill="1" applyBorder="1" applyProtection="1">
      <protection locked="0"/>
    </xf>
    <xf numFmtId="0" fontId="3" fillId="5" borderId="23" xfId="0" applyFont="1" applyFill="1" applyBorder="1" applyAlignment="1" applyProtection="1">
      <alignment horizontal="right"/>
      <protection locked="0"/>
    </xf>
    <xf numFmtId="0" fontId="3" fillId="5" borderId="24" xfId="0" applyFont="1" applyFill="1" applyBorder="1" applyAlignment="1" applyProtection="1">
      <alignment horizontal="right"/>
      <protection locked="0"/>
    </xf>
    <xf numFmtId="0" fontId="3" fillId="5" borderId="25" xfId="0" applyFont="1" applyFill="1" applyBorder="1" applyProtection="1">
      <protection locked="0"/>
    </xf>
    <xf numFmtId="0" fontId="5" fillId="3" borderId="0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right"/>
    </xf>
    <xf numFmtId="0" fontId="6" fillId="3" borderId="13" xfId="0" applyFont="1" applyFill="1" applyBorder="1" applyProtection="1"/>
    <xf numFmtId="0" fontId="3" fillId="3" borderId="0" xfId="0" applyFont="1" applyFill="1" applyProtection="1"/>
    <xf numFmtId="0" fontId="5" fillId="3" borderId="16" xfId="0" applyFont="1" applyFill="1" applyBorder="1" applyAlignment="1" applyProtection="1">
      <alignment vertical="center" wrapText="1"/>
    </xf>
    <xf numFmtId="0" fontId="5" fillId="3" borderId="17" xfId="0" applyFont="1" applyFill="1" applyBorder="1" applyAlignment="1" applyProtection="1">
      <alignment vertical="center" wrapText="1"/>
    </xf>
    <xf numFmtId="0" fontId="3" fillId="3" borderId="17" xfId="0" applyFont="1" applyFill="1" applyBorder="1" applyProtection="1"/>
    <xf numFmtId="0" fontId="3" fillId="3" borderId="18" xfId="0" applyFont="1" applyFill="1" applyBorder="1" applyProtection="1"/>
    <xf numFmtId="165" fontId="3" fillId="3" borderId="27" xfId="2" applyNumberFormat="1" applyFont="1" applyFill="1" applyBorder="1" applyAlignment="1" applyProtection="1">
      <alignment horizontal="right"/>
    </xf>
    <xf numFmtId="0" fontId="6" fillId="3" borderId="15" xfId="0" applyFont="1" applyFill="1" applyBorder="1" applyProtection="1"/>
    <xf numFmtId="0" fontId="7" fillId="3" borderId="13" xfId="0" applyFont="1" applyFill="1" applyBorder="1" applyAlignment="1" applyProtection="1">
      <alignment horizontal="right" vertical="center"/>
    </xf>
    <xf numFmtId="0" fontId="7" fillId="3" borderId="28" xfId="0" applyFont="1" applyFill="1" applyBorder="1" applyAlignment="1" applyProtection="1">
      <alignment horizontal="right" vertical="center"/>
    </xf>
    <xf numFmtId="0" fontId="7" fillId="3" borderId="19" xfId="0" applyFont="1" applyFill="1" applyBorder="1" applyAlignment="1" applyProtection="1">
      <alignment horizontal="right" vertical="center" wrapText="1"/>
    </xf>
    <xf numFmtId="0" fontId="5" fillId="3" borderId="20" xfId="0" applyFont="1" applyFill="1" applyBorder="1" applyAlignment="1" applyProtection="1">
      <alignment vertical="center" wrapText="1"/>
    </xf>
    <xf numFmtId="0" fontId="3" fillId="3" borderId="12" xfId="0" applyFont="1" applyFill="1" applyBorder="1" applyAlignment="1" applyProtection="1">
      <alignment horizontal="right"/>
    </xf>
    <xf numFmtId="0" fontId="5" fillId="3" borderId="21" xfId="0" applyFont="1" applyFill="1" applyBorder="1" applyAlignment="1" applyProtection="1">
      <alignment vertical="center" wrapText="1"/>
    </xf>
    <xf numFmtId="0" fontId="5" fillId="3" borderId="22" xfId="0" applyFont="1" applyFill="1" applyBorder="1" applyAlignment="1" applyProtection="1">
      <alignment vertical="center" wrapText="1"/>
    </xf>
    <xf numFmtId="0" fontId="7" fillId="3" borderId="15" xfId="0" applyFont="1" applyFill="1" applyBorder="1" applyProtection="1"/>
    <xf numFmtId="0" fontId="0" fillId="3" borderId="28" xfId="0" applyFont="1" applyFill="1" applyBorder="1" applyProtection="1"/>
    <xf numFmtId="0" fontId="3" fillId="3" borderId="28" xfId="0" applyFont="1" applyFill="1" applyBorder="1" applyProtection="1"/>
    <xf numFmtId="2" fontId="11" fillId="6" borderId="14" xfId="0" applyNumberFormat="1" applyFont="1" applyFill="1" applyBorder="1" applyAlignment="1" applyProtection="1">
      <alignment horizontal="right"/>
    </xf>
    <xf numFmtId="0" fontId="3" fillId="3" borderId="0" xfId="0" applyFont="1" applyFill="1" applyBorder="1" applyProtection="1"/>
    <xf numFmtId="165" fontId="10" fillId="3" borderId="16" xfId="2" applyNumberFormat="1" applyFont="1" applyFill="1" applyBorder="1" applyProtection="1"/>
    <xf numFmtId="166" fontId="0" fillId="3" borderId="17" xfId="2" applyNumberFormat="1" applyFont="1" applyFill="1" applyBorder="1" applyProtection="1"/>
    <xf numFmtId="166" fontId="0" fillId="3" borderId="17" xfId="2" quotePrefix="1" applyNumberFormat="1" applyFont="1" applyFill="1" applyBorder="1" applyProtection="1"/>
    <xf numFmtId="9" fontId="0" fillId="3" borderId="0" xfId="3" applyFont="1" applyFill="1" applyProtection="1"/>
    <xf numFmtId="167" fontId="0" fillId="3" borderId="0" xfId="0" applyNumberFormat="1" applyFill="1" applyProtection="1"/>
    <xf numFmtId="165" fontId="0" fillId="3" borderId="0" xfId="2" applyNumberFormat="1" applyFont="1" applyFill="1" applyProtection="1"/>
    <xf numFmtId="0" fontId="0" fillId="3" borderId="22" xfId="0" applyFill="1" applyBorder="1" applyProtection="1"/>
    <xf numFmtId="0" fontId="0" fillId="3" borderId="18" xfId="0" applyFill="1" applyBorder="1" applyProtection="1"/>
    <xf numFmtId="165" fontId="0" fillId="3" borderId="18" xfId="2" applyNumberFormat="1" applyFont="1" applyFill="1" applyBorder="1" applyProtection="1"/>
    <xf numFmtId="0" fontId="0" fillId="3" borderId="18" xfId="0" applyFont="1" applyFill="1" applyBorder="1" applyProtection="1"/>
    <xf numFmtId="43" fontId="0" fillId="6" borderId="18" xfId="2" applyFont="1" applyFill="1" applyBorder="1" applyAlignment="1" applyProtection="1">
      <alignment vertical="top"/>
    </xf>
    <xf numFmtId="43" fontId="0" fillId="3" borderId="0" xfId="2" applyFont="1" applyFill="1" applyProtection="1"/>
    <xf numFmtId="165" fontId="0" fillId="5" borderId="17" xfId="2" applyNumberFormat="1" applyFont="1" applyFill="1" applyBorder="1" applyAlignment="1" applyProtection="1">
      <alignment horizontal="right"/>
      <protection locked="0"/>
    </xf>
    <xf numFmtId="0" fontId="0" fillId="3" borderId="23" xfId="0" applyFont="1" applyFill="1" applyBorder="1" applyProtection="1"/>
    <xf numFmtId="0" fontId="0" fillId="3" borderId="24" xfId="0" applyFont="1" applyFill="1" applyBorder="1" applyProtection="1"/>
    <xf numFmtId="0" fontId="0" fillId="3" borderId="0" xfId="0" applyFont="1" applyFill="1" applyBorder="1" applyProtection="1"/>
    <xf numFmtId="0" fontId="0" fillId="3" borderId="0" xfId="0" applyFill="1" applyBorder="1" applyProtection="1"/>
    <xf numFmtId="168" fontId="0" fillId="3" borderId="0" xfId="0" applyNumberFormat="1" applyFill="1" applyBorder="1" applyProtection="1"/>
    <xf numFmtId="43" fontId="0" fillId="3" borderId="0" xfId="2" applyFont="1" applyFill="1" applyBorder="1" applyAlignment="1" applyProtection="1">
      <alignment vertical="top"/>
    </xf>
    <xf numFmtId="0" fontId="14" fillId="3" borderId="0" xfId="0" applyFont="1" applyFill="1" applyProtection="1"/>
    <xf numFmtId="0" fontId="3" fillId="0" borderId="0" xfId="0" applyFont="1" applyAlignment="1" applyProtection="1">
      <alignment vertical="center"/>
    </xf>
    <xf numFmtId="0" fontId="4" fillId="0" borderId="0" xfId="0" applyFont="1" applyProtection="1"/>
    <xf numFmtId="0" fontId="5" fillId="0" borderId="0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right"/>
    </xf>
    <xf numFmtId="0" fontId="6" fillId="0" borderId="1" xfId="0" applyFont="1" applyBorder="1" applyProtection="1"/>
    <xf numFmtId="0" fontId="3" fillId="0" borderId="0" xfId="0" applyFont="1" applyProtection="1"/>
    <xf numFmtId="0" fontId="5" fillId="0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right"/>
    </xf>
    <xf numFmtId="0" fontId="3" fillId="0" borderId="1" xfId="0" applyFont="1" applyBorder="1" applyProtection="1"/>
    <xf numFmtId="1" fontId="3" fillId="3" borderId="2" xfId="0" applyNumberFormat="1" applyFont="1" applyFill="1" applyBorder="1" applyAlignment="1" applyProtection="1">
      <alignment horizontal="right"/>
    </xf>
    <xf numFmtId="0" fontId="7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right" vertical="center" wrapText="1"/>
    </xf>
    <xf numFmtId="0" fontId="3" fillId="3" borderId="3" xfId="0" applyFont="1" applyFill="1" applyBorder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0" fontId="5" fillId="0" borderId="1" xfId="0" applyFont="1" applyBorder="1" applyProtection="1"/>
    <xf numFmtId="0" fontId="0" fillId="0" borderId="1" xfId="0" applyFont="1" applyBorder="1" applyProtection="1"/>
    <xf numFmtId="2" fontId="3" fillId="0" borderId="1" xfId="0" applyNumberFormat="1" applyFont="1" applyBorder="1" applyProtection="1"/>
    <xf numFmtId="0" fontId="2" fillId="0" borderId="1" xfId="0" applyFont="1" applyBorder="1" applyProtection="1"/>
    <xf numFmtId="0" fontId="8" fillId="0" borderId="1" xfId="0" applyFont="1" applyFill="1" applyBorder="1" applyAlignment="1" applyProtection="1">
      <alignment vertical="center" wrapText="1"/>
    </xf>
    <xf numFmtId="2" fontId="8" fillId="0" borderId="1" xfId="0" applyNumberFormat="1" applyFont="1" applyBorder="1" applyAlignment="1" applyProtection="1">
      <alignment horizontal="right"/>
    </xf>
    <xf numFmtId="2" fontId="3" fillId="0" borderId="1" xfId="0" applyNumberFormat="1" applyFont="1" applyBorder="1" applyAlignment="1" applyProtection="1">
      <alignment horizontal="right"/>
    </xf>
    <xf numFmtId="2" fontId="9" fillId="0" borderId="1" xfId="0" applyNumberFormat="1" applyFont="1" applyBorder="1" applyProtection="1"/>
    <xf numFmtId="0" fontId="10" fillId="0" borderId="1" xfId="0" applyFont="1" applyBorder="1" applyProtection="1"/>
    <xf numFmtId="2" fontId="7" fillId="0" borderId="1" xfId="0" applyNumberFormat="1" applyFont="1" applyBorder="1" applyAlignment="1" applyProtection="1">
      <alignment horizontal="right"/>
    </xf>
    <xf numFmtId="0" fontId="7" fillId="0" borderId="4" xfId="0" applyFont="1" applyBorder="1" applyProtection="1"/>
    <xf numFmtId="0" fontId="0" fillId="0" borderId="5" xfId="0" applyFont="1" applyBorder="1" applyProtection="1"/>
    <xf numFmtId="0" fontId="3" fillId="0" borderId="5" xfId="0" applyFont="1" applyBorder="1" applyProtection="1"/>
    <xf numFmtId="2" fontId="11" fillId="4" borderId="6" xfId="0" applyNumberFormat="1" applyFont="1" applyFill="1" applyBorder="1" applyAlignment="1" applyProtection="1">
      <alignment horizontal="right"/>
    </xf>
    <xf numFmtId="0" fontId="12" fillId="0" borderId="7" xfId="0" applyFont="1" applyBorder="1" applyProtection="1"/>
    <xf numFmtId="0" fontId="0" fillId="0" borderId="8" xfId="0" applyFont="1" applyBorder="1" applyProtection="1"/>
    <xf numFmtId="0" fontId="3" fillId="0" borderId="8" xfId="0" applyFont="1" applyBorder="1" applyProtection="1"/>
    <xf numFmtId="2" fontId="11" fillId="4" borderId="9" xfId="0" applyNumberFormat="1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7" fillId="0" borderId="10" xfId="0" applyFont="1" applyBorder="1" applyAlignment="1" applyProtection="1">
      <alignment horizontal="right" vertical="center"/>
    </xf>
    <xf numFmtId="0" fontId="7" fillId="0" borderId="11" xfId="0" applyFont="1" applyBorder="1" applyAlignment="1" applyProtection="1">
      <alignment horizontal="right" vertical="center" wrapText="1"/>
    </xf>
    <xf numFmtId="0" fontId="5" fillId="0" borderId="3" xfId="0" applyFont="1" applyBorder="1" applyAlignment="1" applyProtection="1">
      <alignment vertical="center"/>
    </xf>
    <xf numFmtId="2" fontId="5" fillId="0" borderId="0" xfId="0" applyNumberFormat="1" applyFont="1" applyBorder="1" applyAlignment="1" applyProtection="1">
      <alignment vertical="center"/>
    </xf>
    <xf numFmtId="2" fontId="5" fillId="0" borderId="12" xfId="0" applyNumberFormat="1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2" fontId="5" fillId="0" borderId="8" xfId="0" applyNumberFormat="1" applyFont="1" applyBorder="1" applyAlignment="1" applyProtection="1">
      <alignment vertical="center"/>
    </xf>
    <xf numFmtId="2" fontId="5" fillId="0" borderId="2" xfId="0" applyNumberFormat="1" applyFont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3" borderId="0" xfId="0" applyFont="1" applyFill="1" applyProtection="1"/>
    <xf numFmtId="0" fontId="6" fillId="3" borderId="13" xfId="0" applyFont="1" applyFill="1" applyBorder="1" applyAlignment="1" applyProtection="1">
      <alignment horizontal="right"/>
    </xf>
    <xf numFmtId="0" fontId="6" fillId="3" borderId="13" xfId="0" applyFont="1" applyFill="1" applyBorder="1" applyAlignment="1" applyProtection="1">
      <alignment horizontal="left"/>
    </xf>
    <xf numFmtId="0" fontId="6" fillId="3" borderId="15" xfId="0" applyFont="1" applyFill="1" applyBorder="1" applyAlignment="1" applyProtection="1">
      <alignment horizontal="left"/>
    </xf>
    <xf numFmtId="0" fontId="6" fillId="3" borderId="13" xfId="0" applyFont="1" applyFill="1" applyBorder="1" applyAlignment="1" applyProtection="1">
      <alignment horizontal="right" wrapText="1"/>
    </xf>
    <xf numFmtId="0" fontId="6" fillId="3" borderId="13" xfId="0" applyFont="1" applyFill="1" applyBorder="1" applyAlignment="1" applyProtection="1"/>
    <xf numFmtId="0" fontId="6" fillId="3" borderId="19" xfId="0" applyFont="1" applyFill="1" applyBorder="1" applyAlignment="1" applyProtection="1">
      <alignment horizontal="right"/>
    </xf>
    <xf numFmtId="164" fontId="3" fillId="0" borderId="0" xfId="0" applyNumberFormat="1" applyFont="1" applyProtection="1"/>
    <xf numFmtId="2" fontId="9" fillId="0" borderId="1" xfId="0" applyNumberFormat="1" applyFont="1" applyFill="1" applyBorder="1" applyAlignment="1" applyProtection="1">
      <alignment horizontal="right"/>
    </xf>
    <xf numFmtId="2" fontId="5" fillId="5" borderId="1" xfId="0" applyNumberFormat="1" applyFont="1" applyFill="1" applyBorder="1" applyAlignment="1" applyProtection="1">
      <alignment horizontal="right"/>
    </xf>
    <xf numFmtId="44" fontId="0" fillId="0" borderId="0" xfId="1" applyFont="1" applyProtection="1"/>
    <xf numFmtId="44" fontId="0" fillId="0" borderId="0" xfId="1" applyNumberFormat="1" applyFont="1" applyProtection="1"/>
    <xf numFmtId="44" fontId="0" fillId="0" borderId="0" xfId="0" applyNumberFormat="1" applyProtection="1"/>
    <xf numFmtId="2" fontId="0" fillId="6" borderId="25" xfId="2" quotePrefix="1" applyNumberFormat="1" applyFont="1" applyFill="1" applyBorder="1" applyProtection="1"/>
    <xf numFmtId="0" fontId="0" fillId="3" borderId="30" xfId="0" applyFill="1" applyBorder="1" applyProtection="1"/>
    <xf numFmtId="0" fontId="0" fillId="3" borderId="32" xfId="0" applyFont="1" applyFill="1" applyBorder="1" applyProtection="1"/>
    <xf numFmtId="0" fontId="0" fillId="3" borderId="31" xfId="0" applyFill="1" applyBorder="1" applyProtection="1"/>
    <xf numFmtId="165" fontId="0" fillId="0" borderId="31" xfId="2" applyNumberFormat="1" applyFont="1" applyFill="1" applyBorder="1" applyAlignment="1" applyProtection="1">
      <alignment horizontal="right"/>
      <protection locked="0"/>
    </xf>
    <xf numFmtId="164" fontId="5" fillId="7" borderId="1" xfId="1" applyNumberFormat="1" applyFont="1" applyFill="1" applyBorder="1" applyAlignment="1" applyProtection="1">
      <alignment horizontal="right"/>
    </xf>
    <xf numFmtId="165" fontId="10" fillId="7" borderId="17" xfId="2" applyNumberFormat="1" applyFont="1" applyFill="1" applyBorder="1" applyProtection="1"/>
    <xf numFmtId="43" fontId="0" fillId="3" borderId="0" xfId="0" applyNumberFormat="1" applyFont="1" applyFill="1" applyProtection="1"/>
    <xf numFmtId="164" fontId="5" fillId="0" borderId="24" xfId="1" applyNumberFormat="1" applyFont="1" applyFill="1" applyBorder="1" applyAlignment="1" applyProtection="1">
      <alignment horizontal="right"/>
    </xf>
    <xf numFmtId="43" fontId="0" fillId="0" borderId="16" xfId="2" applyFont="1" applyFill="1" applyBorder="1" applyProtection="1"/>
    <xf numFmtId="9" fontId="0" fillId="0" borderId="31" xfId="3" applyFont="1" applyFill="1" applyBorder="1" applyProtection="1"/>
    <xf numFmtId="43" fontId="10" fillId="0" borderId="17" xfId="2" applyFont="1" applyFill="1" applyBorder="1" applyProtection="1"/>
  </cellXfs>
  <cellStyles count="4">
    <cellStyle name="Komma" xfId="2" builtinId="3"/>
    <cellStyle name="Procent" xfId="3" builtinId="5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zoomScale="145" zoomScaleNormal="145" workbookViewId="0">
      <selection activeCell="A8" sqref="A8"/>
    </sheetView>
  </sheetViews>
  <sheetFormatPr defaultColWidth="9.140625" defaultRowHeight="15" x14ac:dyDescent="0.25"/>
  <cols>
    <col min="1" max="1" width="83.28515625" style="8" customWidth="1"/>
    <col min="2" max="2" width="16.85546875" style="8" customWidth="1"/>
    <col min="3" max="4" width="19" style="8" customWidth="1"/>
    <col min="5" max="5" width="19" style="4" customWidth="1"/>
    <col min="6" max="6" width="26" style="4" bestFit="1" customWidth="1"/>
    <col min="7" max="16384" width="9.140625" style="4"/>
  </cols>
  <sheetData>
    <row r="1" spans="1:6" ht="18.75" x14ac:dyDescent="0.3">
      <c r="A1" s="10" t="s">
        <v>0</v>
      </c>
    </row>
    <row r="2" spans="1:6" ht="15.75" thickBot="1" x14ac:dyDescent="0.3">
      <c r="A2" s="40"/>
      <c r="B2" s="41"/>
      <c r="C2" s="41"/>
      <c r="D2" s="41"/>
      <c r="E2" s="41"/>
    </row>
    <row r="3" spans="1:6" ht="15.75" thickBot="1" x14ac:dyDescent="0.3">
      <c r="A3" s="42" t="s">
        <v>1</v>
      </c>
      <c r="B3" s="43"/>
      <c r="C3" s="43"/>
      <c r="D3" s="43"/>
      <c r="E3" s="43"/>
    </row>
    <row r="4" spans="1:6" x14ac:dyDescent="0.25">
      <c r="A4" s="44" t="s">
        <v>2</v>
      </c>
      <c r="B4" s="29"/>
      <c r="C4" s="43"/>
      <c r="D4" s="43"/>
      <c r="E4" s="43"/>
    </row>
    <row r="5" spans="1:6" x14ac:dyDescent="0.25">
      <c r="A5" s="45" t="s">
        <v>3</v>
      </c>
      <c r="B5" s="30"/>
      <c r="C5" s="43"/>
      <c r="D5" s="43"/>
      <c r="E5" s="43"/>
    </row>
    <row r="6" spans="1:6" x14ac:dyDescent="0.25">
      <c r="A6" s="45" t="s">
        <v>73</v>
      </c>
      <c r="B6" s="30"/>
      <c r="C6" s="43"/>
      <c r="D6" s="43"/>
      <c r="E6" s="43"/>
    </row>
    <row r="7" spans="1:6" x14ac:dyDescent="0.25">
      <c r="A7" s="45" t="s">
        <v>5</v>
      </c>
      <c r="B7" s="30"/>
      <c r="C7" s="43"/>
      <c r="D7" s="43"/>
      <c r="E7" s="43"/>
    </row>
    <row r="8" spans="1:6" x14ac:dyDescent="0.25">
      <c r="A8" s="46" t="s">
        <v>6</v>
      </c>
      <c r="B8" s="147">
        <v>76071.81</v>
      </c>
      <c r="C8" s="43"/>
      <c r="D8" s="43"/>
      <c r="E8" s="43"/>
    </row>
    <row r="9" spans="1:6" ht="15.75" thickBot="1" x14ac:dyDescent="0.3">
      <c r="A9" s="47" t="s">
        <v>7</v>
      </c>
      <c r="B9" s="48">
        <v>2095</v>
      </c>
      <c r="C9" s="43"/>
      <c r="D9" s="43"/>
      <c r="E9" s="43"/>
    </row>
    <row r="10" spans="1:6" ht="15.75" thickBot="1" x14ac:dyDescent="0.3">
      <c r="A10" s="40"/>
      <c r="B10" s="40"/>
      <c r="C10" s="43"/>
      <c r="D10" s="43"/>
      <c r="E10" s="43"/>
    </row>
    <row r="11" spans="1:6" ht="15.75" thickBot="1" x14ac:dyDescent="0.3">
      <c r="A11" s="49" t="s">
        <v>63</v>
      </c>
      <c r="B11" s="50" t="s">
        <v>9</v>
      </c>
      <c r="C11" s="51" t="s">
        <v>10</v>
      </c>
      <c r="D11" s="50" t="s">
        <v>11</v>
      </c>
      <c r="E11" s="52" t="s">
        <v>12</v>
      </c>
    </row>
    <row r="12" spans="1:6" x14ac:dyDescent="0.25">
      <c r="A12" s="53" t="s">
        <v>62</v>
      </c>
      <c r="B12" s="31"/>
      <c r="C12" s="34"/>
      <c r="D12" s="31"/>
      <c r="E12" s="37"/>
      <c r="F12" s="54"/>
    </row>
    <row r="13" spans="1:6" x14ac:dyDescent="0.25">
      <c r="A13" s="55" t="s">
        <v>16</v>
      </c>
      <c r="B13" s="32"/>
      <c r="C13" s="35"/>
      <c r="D13" s="32"/>
      <c r="E13" s="38"/>
    </row>
    <row r="14" spans="1:6" ht="15.75" thickBot="1" x14ac:dyDescent="0.3">
      <c r="A14" s="56" t="s">
        <v>20</v>
      </c>
      <c r="B14" s="33"/>
      <c r="C14" s="36"/>
      <c r="D14" s="33"/>
      <c r="E14" s="39"/>
    </row>
    <row r="15" spans="1:6" ht="15.75" thickBot="1" x14ac:dyDescent="0.3">
      <c r="A15" s="4"/>
      <c r="B15" s="43"/>
      <c r="C15" s="43"/>
      <c r="D15" s="43"/>
      <c r="E15" s="43"/>
    </row>
    <row r="16" spans="1:6" ht="15.75" thickBot="1" x14ac:dyDescent="0.3">
      <c r="A16" s="57" t="s">
        <v>31</v>
      </c>
      <c r="B16" s="58"/>
      <c r="C16" s="58"/>
      <c r="D16" s="59"/>
      <c r="E16" s="60" t="e">
        <f>Blad2!E29+Blad2!E30</f>
        <v>#DIV/0!</v>
      </c>
    </row>
    <row r="17" spans="1:5" x14ac:dyDescent="0.25">
      <c r="A17" s="61"/>
      <c r="B17" s="61"/>
      <c r="C17" s="61"/>
      <c r="D17" s="61"/>
      <c r="E17" s="61"/>
    </row>
    <row r="18" spans="1:5" x14ac:dyDescent="0.25">
      <c r="A18" s="61"/>
      <c r="B18" s="61"/>
      <c r="C18" s="61"/>
      <c r="D18" s="61"/>
      <c r="E18" s="61"/>
    </row>
  </sheetData>
  <sheetProtection algorithmName="SHA-512" hashValue="9T/1LHhQ8/JYGbrgJm3BIehUu6kTT9WumPmk2Cgk0oPLNsxLjufhzfLzNVdVGP5goXPHghqo7+8Z1/GM3rEBDg==" saltValue="Ae7GB4+q2VSoe1n95kmCtg==" spinCount="100000" sheet="1" objects="1" scenarios="1"/>
  <dataValidations count="1">
    <dataValidation type="list" allowBlank="1" showInputMessage="1" showErrorMessage="1" sqref="B2:E2" xr:uid="{00000000-0002-0000-0000-000000000000}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Blad2!$A$41:$A$42</xm:f>
          </x14:formula1>
          <xm:sqref>B12:E12 B6</xm:sqref>
        </x14:dataValidation>
        <x14:dataValidation type="list" allowBlank="1" showInputMessage="1" showErrorMessage="1" xr:uid="{00000000-0002-0000-0000-000002000000}">
          <x14:formula1>
            <xm:f>Blad2!$A$35:$A$38</xm:f>
          </x14:formula1>
          <xm:sqref>B13:E13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"/>
  <sheetViews>
    <sheetView zoomScale="110" zoomScaleNormal="110" workbookViewId="0">
      <selection activeCell="B5" sqref="B5"/>
    </sheetView>
  </sheetViews>
  <sheetFormatPr defaultColWidth="9.140625" defaultRowHeight="15" x14ac:dyDescent="0.25"/>
  <cols>
    <col min="1" max="1" width="48.7109375" style="4" customWidth="1"/>
    <col min="2" max="4" width="11.28515625" style="4" customWidth="1"/>
    <col min="5" max="5" width="9.140625" style="4"/>
    <col min="6" max="6" width="15.140625" style="4" customWidth="1"/>
    <col min="7" max="7" width="11.28515625" style="4" customWidth="1"/>
    <col min="8" max="16384" width="9.140625" style="4"/>
  </cols>
  <sheetData>
    <row r="1" spans="1:8" ht="18.75" x14ac:dyDescent="0.3">
      <c r="A1" s="10" t="s">
        <v>70</v>
      </c>
    </row>
    <row r="2" spans="1:8" ht="15.75" thickBot="1" x14ac:dyDescent="0.3">
      <c r="A2" s="3"/>
      <c r="B2" s="3"/>
    </row>
    <row r="3" spans="1:8" ht="15.75" thickBot="1" x14ac:dyDescent="0.3">
      <c r="A3" s="49" t="s">
        <v>38</v>
      </c>
      <c r="B3" s="127" t="s">
        <v>39</v>
      </c>
      <c r="C3" s="127" t="s">
        <v>40</v>
      </c>
      <c r="D3" s="132" t="s">
        <v>42</v>
      </c>
      <c r="E3" s="131" t="s">
        <v>41</v>
      </c>
    </row>
    <row r="4" spans="1:8" ht="14.25" customHeight="1" x14ac:dyDescent="0.25">
      <c r="A4" s="25" t="s">
        <v>72</v>
      </c>
      <c r="B4" s="11"/>
      <c r="C4" s="148">
        <v>338.09</v>
      </c>
      <c r="D4" s="75"/>
      <c r="E4" s="21" t="s">
        <v>50</v>
      </c>
    </row>
    <row r="5" spans="1:8" x14ac:dyDescent="0.25">
      <c r="A5" s="26" t="s">
        <v>44</v>
      </c>
      <c r="B5" s="74"/>
      <c r="C5" s="17"/>
      <c r="D5" s="76"/>
      <c r="E5" s="14" t="s">
        <v>43</v>
      </c>
    </row>
    <row r="6" spans="1:8" x14ac:dyDescent="0.25">
      <c r="A6" s="26" t="s">
        <v>61</v>
      </c>
      <c r="B6" s="74"/>
      <c r="C6" s="17"/>
      <c r="D6" s="76"/>
      <c r="E6" s="14" t="s">
        <v>43</v>
      </c>
    </row>
    <row r="7" spans="1:8" x14ac:dyDescent="0.25">
      <c r="A7" s="140" t="s">
        <v>71</v>
      </c>
      <c r="B7" s="143"/>
      <c r="C7" s="149">
        <v>0.3</v>
      </c>
      <c r="D7" s="141"/>
      <c r="E7" s="142"/>
    </row>
    <row r="8" spans="1:8" ht="15.75" thickBot="1" x14ac:dyDescent="0.3">
      <c r="A8" s="68" t="s">
        <v>49</v>
      </c>
      <c r="B8" s="69"/>
      <c r="C8" s="69"/>
      <c r="D8" s="139" t="e">
        <f>C7*B6*C4/B5/4</f>
        <v>#DIV/0!</v>
      </c>
      <c r="E8" s="71" t="s">
        <v>50</v>
      </c>
    </row>
    <row r="9" spans="1:8" x14ac:dyDescent="0.25">
      <c r="A9" s="8"/>
      <c r="B9" s="8"/>
      <c r="C9" s="8"/>
      <c r="D9" s="77"/>
      <c r="E9" s="78"/>
      <c r="F9" s="78"/>
    </row>
    <row r="10" spans="1:8" ht="15.75" x14ac:dyDescent="0.25">
      <c r="D10" s="78"/>
      <c r="E10" s="78"/>
      <c r="F10" s="78"/>
      <c r="H10" s="5"/>
    </row>
    <row r="11" spans="1:8" x14ac:dyDescent="0.25">
      <c r="D11" s="79"/>
      <c r="E11" s="77"/>
      <c r="F11" s="78"/>
      <c r="G11" s="9"/>
    </row>
    <row r="12" spans="1:8" x14ac:dyDescent="0.25">
      <c r="D12" s="78"/>
      <c r="E12" s="77"/>
      <c r="F12" s="78"/>
    </row>
    <row r="13" spans="1:8" x14ac:dyDescent="0.25">
      <c r="D13" s="78"/>
      <c r="E13" s="77"/>
      <c r="F13" s="78"/>
    </row>
    <row r="14" spans="1:8" x14ac:dyDescent="0.25">
      <c r="D14" s="78"/>
      <c r="E14" s="77"/>
      <c r="F14" s="78"/>
    </row>
    <row r="15" spans="1:8" x14ac:dyDescent="0.25">
      <c r="D15" s="78"/>
      <c r="E15" s="77"/>
      <c r="F15" s="78"/>
    </row>
    <row r="16" spans="1:8" x14ac:dyDescent="0.25">
      <c r="D16" s="78"/>
      <c r="E16" s="80"/>
      <c r="F16" s="78"/>
    </row>
    <row r="17" spans="4:6" x14ac:dyDescent="0.25">
      <c r="D17" s="78"/>
      <c r="E17" s="78"/>
      <c r="F17" s="78"/>
    </row>
    <row r="18" spans="4:6" x14ac:dyDescent="0.25">
      <c r="D18" s="78"/>
      <c r="E18" s="78"/>
      <c r="F18" s="78"/>
    </row>
  </sheetData>
  <sheetProtection algorithmName="SHA-512" hashValue="VMmzY6V0FU6FLZQOBybmb+gywCNmR9P/xxTxb0z2sjyDdN+6OnZd8Xjxz0WNC4g7VZ454h6z9E7xQz0xxs51zw==" saltValue="8YLBvw0+4jCXZj2LlOqzr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8"/>
  <sheetViews>
    <sheetView zoomScale="115" zoomScaleNormal="115" workbookViewId="0">
      <selection activeCell="D5" sqref="D5"/>
    </sheetView>
  </sheetViews>
  <sheetFormatPr defaultColWidth="9.140625" defaultRowHeight="15" x14ac:dyDescent="0.25"/>
  <cols>
    <col min="1" max="1" width="83.28515625" style="2" customWidth="1"/>
    <col min="2" max="2" width="16.85546875" style="2" customWidth="1"/>
    <col min="3" max="4" width="19" style="2" customWidth="1"/>
    <col min="5" max="5" width="19" style="1" customWidth="1"/>
    <col min="6" max="6" width="26" style="1" bestFit="1" customWidth="1"/>
    <col min="7" max="7" width="14.85546875" style="1" customWidth="1"/>
    <col min="8" max="16384" width="9.140625" style="1"/>
  </cols>
  <sheetData>
    <row r="1" spans="1:6" x14ac:dyDescent="0.25">
      <c r="A1" s="82"/>
    </row>
    <row r="2" spans="1:6" x14ac:dyDescent="0.25">
      <c r="A2" s="82"/>
    </row>
    <row r="3" spans="1:6" ht="18.75" x14ac:dyDescent="0.3">
      <c r="A3" s="83" t="s">
        <v>0</v>
      </c>
    </row>
    <row r="4" spans="1:6" x14ac:dyDescent="0.25">
      <c r="A4" s="84"/>
      <c r="B4" s="85"/>
      <c r="C4" s="85"/>
      <c r="D4" s="85"/>
      <c r="E4" s="85"/>
    </row>
    <row r="5" spans="1:6" x14ac:dyDescent="0.25">
      <c r="A5" s="86" t="s">
        <v>1</v>
      </c>
      <c r="B5" s="87"/>
      <c r="C5" s="87"/>
      <c r="D5" s="87"/>
      <c r="E5" s="87"/>
    </row>
    <row r="6" spans="1:6" x14ac:dyDescent="0.25">
      <c r="A6" s="88" t="s">
        <v>2</v>
      </c>
      <c r="B6" s="89">
        <f>'POH-S'!B4</f>
        <v>0</v>
      </c>
      <c r="C6" s="87"/>
      <c r="D6" s="87"/>
      <c r="E6" s="87"/>
    </row>
    <row r="7" spans="1:6" x14ac:dyDescent="0.25">
      <c r="A7" s="88" t="s">
        <v>3</v>
      </c>
      <c r="B7" s="89">
        <f>'POH-S'!B5</f>
        <v>0</v>
      </c>
      <c r="C7" s="87"/>
      <c r="D7" s="87"/>
      <c r="E7" s="87"/>
    </row>
    <row r="8" spans="1:6" x14ac:dyDescent="0.25">
      <c r="A8" s="88" t="s">
        <v>4</v>
      </c>
      <c r="B8" s="89">
        <f>'POH-S'!B6</f>
        <v>0</v>
      </c>
      <c r="C8" s="87"/>
      <c r="D8" s="87"/>
      <c r="E8" s="87"/>
    </row>
    <row r="9" spans="1:6" x14ac:dyDescent="0.25">
      <c r="A9" s="88" t="s">
        <v>5</v>
      </c>
      <c r="B9" s="89">
        <f>'POH-S'!B7</f>
        <v>0</v>
      </c>
      <c r="C9" s="87"/>
      <c r="D9" s="87"/>
      <c r="E9" s="87"/>
    </row>
    <row r="10" spans="1:6" x14ac:dyDescent="0.25">
      <c r="A10" s="90" t="s">
        <v>6</v>
      </c>
      <c r="B10" s="144">
        <v>76071.81</v>
      </c>
      <c r="C10" s="133"/>
      <c r="D10" s="87"/>
      <c r="E10" s="87"/>
    </row>
    <row r="11" spans="1:6" x14ac:dyDescent="0.25">
      <c r="A11" s="90" t="s">
        <v>7</v>
      </c>
      <c r="B11" s="91">
        <v>2095</v>
      </c>
      <c r="C11" s="87"/>
      <c r="D11" s="87"/>
      <c r="E11" s="87"/>
    </row>
    <row r="12" spans="1:6" x14ac:dyDescent="0.25">
      <c r="A12" s="84"/>
      <c r="B12" s="84"/>
      <c r="C12" s="87"/>
      <c r="D12" s="87"/>
      <c r="E12" s="87"/>
    </row>
    <row r="13" spans="1:6" x14ac:dyDescent="0.25">
      <c r="A13" s="86" t="s">
        <v>8</v>
      </c>
      <c r="B13" s="92" t="s">
        <v>9</v>
      </c>
      <c r="C13" s="92" t="s">
        <v>10</v>
      </c>
      <c r="D13" s="92" t="s">
        <v>11</v>
      </c>
      <c r="E13" s="93" t="s">
        <v>12</v>
      </c>
    </row>
    <row r="14" spans="1:6" x14ac:dyDescent="0.25">
      <c r="A14" s="88" t="s">
        <v>13</v>
      </c>
      <c r="B14" s="89">
        <f>'POH-S'!B12</f>
        <v>0</v>
      </c>
      <c r="C14" s="89">
        <f>'POH-S'!C12</f>
        <v>0</v>
      </c>
      <c r="D14" s="89">
        <f>'POH-S'!D12</f>
        <v>0</v>
      </c>
      <c r="E14" s="89">
        <f>'POH-S'!E12</f>
        <v>0</v>
      </c>
      <c r="F14" s="94" t="s">
        <v>15</v>
      </c>
    </row>
    <row r="15" spans="1:6" x14ac:dyDescent="0.25">
      <c r="A15" s="88" t="s">
        <v>16</v>
      </c>
      <c r="B15" s="89">
        <f>'POH-S'!B13</f>
        <v>0</v>
      </c>
      <c r="C15" s="89">
        <f>'POH-S'!C13</f>
        <v>0</v>
      </c>
      <c r="D15" s="89">
        <f>'POH-S'!D13</f>
        <v>0</v>
      </c>
      <c r="E15" s="89">
        <f>'POH-S'!E13</f>
        <v>0</v>
      </c>
    </row>
    <row r="16" spans="1:6" x14ac:dyDescent="0.25">
      <c r="A16" s="88" t="s">
        <v>20</v>
      </c>
      <c r="B16" s="89">
        <f>'POH-S'!B14</f>
        <v>0</v>
      </c>
      <c r="C16" s="89">
        <f>'POH-S'!C14</f>
        <v>0</v>
      </c>
      <c r="D16" s="89">
        <f>'POH-S'!D14</f>
        <v>0</v>
      </c>
      <c r="E16" s="89">
        <f>'POH-S'!E14</f>
        <v>0</v>
      </c>
    </row>
    <row r="17" spans="1:9" x14ac:dyDescent="0.25">
      <c r="A17" s="1"/>
      <c r="B17" s="87"/>
      <c r="C17" s="87"/>
      <c r="D17" s="87"/>
      <c r="E17" s="87"/>
    </row>
    <row r="18" spans="1:9" x14ac:dyDescent="0.25">
      <c r="A18" s="86" t="s">
        <v>21</v>
      </c>
      <c r="B18" s="95" t="s">
        <v>22</v>
      </c>
      <c r="C18" s="95" t="s">
        <v>23</v>
      </c>
      <c r="D18" s="95" t="s">
        <v>19</v>
      </c>
      <c r="E18" s="95" t="s">
        <v>24</v>
      </c>
    </row>
    <row r="19" spans="1:9" x14ac:dyDescent="0.25">
      <c r="A19" s="96" t="s">
        <v>25</v>
      </c>
      <c r="B19" s="90"/>
      <c r="C19" s="97"/>
      <c r="D19" s="90"/>
      <c r="E19" s="98">
        <f>B6</f>
        <v>0</v>
      </c>
    </row>
    <row r="20" spans="1:9" x14ac:dyDescent="0.25">
      <c r="A20" s="96" t="s">
        <v>26</v>
      </c>
      <c r="B20" s="99"/>
      <c r="C20" s="97"/>
      <c r="D20" s="90"/>
      <c r="E20" s="135">
        <f>IF(B8="ja",(-B9*1.52)/43.42,0)</f>
        <v>0</v>
      </c>
      <c r="F20" s="136"/>
      <c r="G20" s="137"/>
      <c r="H20" s="138"/>
      <c r="I20" s="138"/>
    </row>
    <row r="21" spans="1:9" x14ac:dyDescent="0.25">
      <c r="A21" s="100" t="s">
        <v>27</v>
      </c>
      <c r="B21" s="99"/>
      <c r="D21" s="90"/>
      <c r="E21" s="101">
        <f>SUM(E19:E20)</f>
        <v>0</v>
      </c>
    </row>
    <row r="22" spans="1:9" x14ac:dyDescent="0.25">
      <c r="A22" s="88" t="s">
        <v>9</v>
      </c>
      <c r="B22" s="98">
        <f>IF(B14="ja",(VLOOKUP(B15,A35:B38,2,FALSE)),0)</f>
        <v>0</v>
      </c>
      <c r="C22" s="102">
        <f>IF(B15="in eigen beheer",0,(B22*B16)/43.42)</f>
        <v>0</v>
      </c>
      <c r="D22" s="102">
        <f>IF(B15="in eigen beheer",B7/B11*B22,0)</f>
        <v>0</v>
      </c>
      <c r="E22" s="98">
        <f>C22+D22</f>
        <v>0</v>
      </c>
    </row>
    <row r="23" spans="1:9" x14ac:dyDescent="0.25">
      <c r="A23" s="88" t="s">
        <v>10</v>
      </c>
      <c r="B23" s="98">
        <f>IF(C14="ja",(VLOOKUP(C15,A35:C38,3,FALSE)),0)</f>
        <v>0</v>
      </c>
      <c r="C23" s="102">
        <f>IF(C15="in eigen beheer",0,(B23*C16)/43.42)</f>
        <v>0</v>
      </c>
      <c r="D23" s="102">
        <f>IF(C15="in eigen beheer",B7/B11*B23,0)</f>
        <v>0</v>
      </c>
      <c r="E23" s="98">
        <f>C23+D23</f>
        <v>0</v>
      </c>
    </row>
    <row r="24" spans="1:9" x14ac:dyDescent="0.25">
      <c r="A24" s="88" t="s">
        <v>28</v>
      </c>
      <c r="B24" s="98">
        <f>IF(D14="ja",(VLOOKUP(D15,A35:D38,4,FALSE)),0)</f>
        <v>0</v>
      </c>
      <c r="C24" s="102">
        <f>IF(D15="in eigen beheer",0,(B24*D16)/43.42)</f>
        <v>0</v>
      </c>
      <c r="D24" s="102">
        <f>IF(D15="in eigen beheer",B7/B11*B24,0)</f>
        <v>0</v>
      </c>
      <c r="E24" s="98">
        <f>C24+D24</f>
        <v>0</v>
      </c>
    </row>
    <row r="25" spans="1:9" x14ac:dyDescent="0.25">
      <c r="A25" s="88" t="s">
        <v>12</v>
      </c>
      <c r="B25" s="98">
        <f>IF(E14="ja",(VLOOKUP(E15,A35:E38,5,FALSE)),0)</f>
        <v>0</v>
      </c>
      <c r="C25" s="102">
        <f>IF(E15="in eigen beheer",0,(B25*E16)/43.42)</f>
        <v>0</v>
      </c>
      <c r="D25" s="102">
        <f>IF(E15="in eigen beheer",B7/B11*B25,0)</f>
        <v>0</v>
      </c>
      <c r="E25" s="98">
        <f>C25+D25</f>
        <v>0</v>
      </c>
    </row>
    <row r="26" spans="1:9" x14ac:dyDescent="0.25">
      <c r="A26" s="88" t="s">
        <v>29</v>
      </c>
      <c r="B26" s="90"/>
      <c r="C26" s="102"/>
      <c r="D26" s="102">
        <f>(B7/B11)*2.5</f>
        <v>0</v>
      </c>
      <c r="E26" s="98">
        <f>C26+D26</f>
        <v>0</v>
      </c>
    </row>
    <row r="27" spans="1:9" x14ac:dyDescent="0.25">
      <c r="A27" s="96" t="s">
        <v>30</v>
      </c>
      <c r="B27" s="90"/>
      <c r="C27" s="134">
        <f>SUM(C22:C26)</f>
        <v>0</v>
      </c>
      <c r="D27" s="103">
        <f>SUM(D22:D26)</f>
        <v>0</v>
      </c>
      <c r="E27" s="103">
        <f>SUM(E22:E26)</f>
        <v>0</v>
      </c>
    </row>
    <row r="28" spans="1:9" x14ac:dyDescent="0.25">
      <c r="B28" s="104"/>
      <c r="C28" s="105"/>
      <c r="D28" s="90"/>
      <c r="E28" s="90"/>
    </row>
    <row r="29" spans="1:9" x14ac:dyDescent="0.25">
      <c r="A29" s="106" t="s">
        <v>31</v>
      </c>
      <c r="B29" s="107"/>
      <c r="C29" s="107"/>
      <c r="D29" s="108"/>
      <c r="E29" s="109" t="e">
        <f>IF(E27&gt;=E21,((((E21-C27)/38)*B10)/B7/4),0)</f>
        <v>#DIV/0!</v>
      </c>
    </row>
    <row r="30" spans="1:9" x14ac:dyDescent="0.25">
      <c r="A30" s="110"/>
      <c r="B30" s="111"/>
      <c r="C30" s="111"/>
      <c r="D30" s="112"/>
      <c r="E30" s="113">
        <f>IF(E21&gt;E27,((D27/38)*B10/B7/4),0)</f>
        <v>0</v>
      </c>
    </row>
    <row r="31" spans="1:9" x14ac:dyDescent="0.25">
      <c r="A31" s="114"/>
      <c r="B31" s="114"/>
      <c r="C31" s="114"/>
      <c r="D31" s="114"/>
      <c r="E31" s="114"/>
    </row>
    <row r="32" spans="1:9" x14ac:dyDescent="0.25">
      <c r="A32" s="114"/>
      <c r="B32" s="114"/>
      <c r="C32" s="114"/>
      <c r="D32" s="114"/>
      <c r="E32" s="114"/>
    </row>
    <row r="34" spans="1:5" x14ac:dyDescent="0.25">
      <c r="A34" s="86" t="s">
        <v>32</v>
      </c>
      <c r="B34" s="115" t="s">
        <v>9</v>
      </c>
      <c r="C34" s="115" t="s">
        <v>10</v>
      </c>
      <c r="D34" s="115" t="s">
        <v>11</v>
      </c>
      <c r="E34" s="116" t="s">
        <v>12</v>
      </c>
    </row>
    <row r="35" spans="1:5" x14ac:dyDescent="0.25">
      <c r="A35" s="117" t="s">
        <v>18</v>
      </c>
      <c r="B35" s="118">
        <v>2.4700000000000002</v>
      </c>
      <c r="C35" s="118">
        <v>3.2</v>
      </c>
      <c r="D35" s="118">
        <v>2</v>
      </c>
      <c r="E35" s="119">
        <v>1.1200000000000001</v>
      </c>
    </row>
    <row r="36" spans="1:5" x14ac:dyDescent="0.25">
      <c r="A36" s="117" t="s">
        <v>33</v>
      </c>
      <c r="B36" s="118">
        <v>1.42</v>
      </c>
      <c r="C36" s="118">
        <v>0.92</v>
      </c>
      <c r="D36" s="118">
        <v>0.97</v>
      </c>
      <c r="E36" s="119">
        <v>1.18</v>
      </c>
    </row>
    <row r="37" spans="1:5" x14ac:dyDescent="0.25">
      <c r="A37" s="120" t="s">
        <v>17</v>
      </c>
      <c r="B37" s="121">
        <v>2.27</v>
      </c>
      <c r="C37" s="121">
        <v>2.16</v>
      </c>
      <c r="D37" s="121">
        <v>1.4</v>
      </c>
      <c r="E37" s="122">
        <v>1.21</v>
      </c>
    </row>
    <row r="38" spans="1:5" x14ac:dyDescent="0.25">
      <c r="A38" s="123" t="s">
        <v>19</v>
      </c>
      <c r="B38" s="121">
        <v>4</v>
      </c>
      <c r="C38" s="121">
        <v>0.9</v>
      </c>
      <c r="D38" s="121">
        <v>2</v>
      </c>
      <c r="E38" s="122">
        <v>4.0999999999999996</v>
      </c>
    </row>
    <row r="40" spans="1:5" x14ac:dyDescent="0.25">
      <c r="A40" s="86" t="s">
        <v>34</v>
      </c>
    </row>
    <row r="41" spans="1:5" x14ac:dyDescent="0.25">
      <c r="A41" s="124" t="s">
        <v>14</v>
      </c>
    </row>
    <row r="42" spans="1:5" x14ac:dyDescent="0.25">
      <c r="A42" s="124" t="s">
        <v>35</v>
      </c>
    </row>
    <row r="43" spans="1:5" x14ac:dyDescent="0.25">
      <c r="A43" s="125"/>
    </row>
    <row r="44" spans="1:5" x14ac:dyDescent="0.25">
      <c r="A44" s="86" t="s">
        <v>36</v>
      </c>
    </row>
    <row r="45" spans="1:5" x14ac:dyDescent="0.25">
      <c r="A45" s="124" t="s">
        <v>18</v>
      </c>
      <c r="B45" s="1"/>
    </row>
    <row r="46" spans="1:5" x14ac:dyDescent="0.25">
      <c r="A46" s="124" t="s">
        <v>33</v>
      </c>
    </row>
    <row r="47" spans="1:5" x14ac:dyDescent="0.25">
      <c r="A47" s="124" t="s">
        <v>17</v>
      </c>
    </row>
    <row r="48" spans="1:5" x14ac:dyDescent="0.25">
      <c r="A48" s="124" t="s">
        <v>19</v>
      </c>
    </row>
  </sheetData>
  <sheetProtection algorithmName="SHA-512" hashValue="XcSM0uE7aEn5k2N+il2WY7xC3uXKI2DXciiJT1MYlN3S05O2zHxYGFyfG+D5SjCGbwiLejN1NxUKZNtLnQu6Sw==" saltValue="enpCcBZHQkw5R4zAb77V2A==" spinCount="100000" sheet="1" objects="1" scenarios="1"/>
  <dataValidations count="1">
    <dataValidation type="list" allowBlank="1" showInputMessage="1" showErrorMessage="1" sqref="B4:E4" xr:uid="{00000000-0002-0000-0200-000000000000}">
      <formula1>$A$45:$A$48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5"/>
  <sheetViews>
    <sheetView tabSelected="1" zoomScale="160" zoomScaleNormal="160" workbookViewId="0">
      <selection activeCell="B5" sqref="B5"/>
    </sheetView>
  </sheetViews>
  <sheetFormatPr defaultColWidth="9.140625" defaultRowHeight="15" x14ac:dyDescent="0.25"/>
  <cols>
    <col min="1" max="1" width="48.7109375" style="4" customWidth="1"/>
    <col min="2" max="5" width="11.28515625" style="4" customWidth="1"/>
    <col min="6" max="6" width="9.140625" style="4"/>
    <col min="7" max="7" width="15.140625" style="4" customWidth="1"/>
    <col min="8" max="8" width="11.28515625" style="4" customWidth="1"/>
    <col min="9" max="16384" width="9.140625" style="4"/>
  </cols>
  <sheetData>
    <row r="1" spans="1:9" ht="18.75" x14ac:dyDescent="0.3">
      <c r="A1" s="10" t="s">
        <v>37</v>
      </c>
    </row>
    <row r="2" spans="1:9" ht="15.75" thickBot="1" x14ac:dyDescent="0.3"/>
    <row r="3" spans="1:9" ht="15.75" thickBot="1" x14ac:dyDescent="0.3">
      <c r="A3" s="49" t="s">
        <v>38</v>
      </c>
      <c r="B3" s="127" t="s">
        <v>39</v>
      </c>
      <c r="C3" s="127" t="s">
        <v>40</v>
      </c>
      <c r="D3" s="127" t="s">
        <v>42</v>
      </c>
      <c r="E3" s="128" t="s">
        <v>41</v>
      </c>
      <c r="F3" s="126"/>
    </row>
    <row r="4" spans="1:9" x14ac:dyDescent="0.25">
      <c r="A4" s="25" t="s">
        <v>7</v>
      </c>
      <c r="B4" s="11"/>
      <c r="C4" s="11">
        <v>2350</v>
      </c>
      <c r="D4" s="21"/>
      <c r="E4" s="21" t="s">
        <v>43</v>
      </c>
    </row>
    <row r="5" spans="1:9" x14ac:dyDescent="0.25">
      <c r="A5" s="26" t="s">
        <v>44</v>
      </c>
      <c r="B5" s="74"/>
      <c r="C5" s="17"/>
      <c r="D5" s="14"/>
      <c r="E5" s="14" t="s">
        <v>43</v>
      </c>
      <c r="H5" s="81" t="s">
        <v>14</v>
      </c>
    </row>
    <row r="6" spans="1:9" x14ac:dyDescent="0.25">
      <c r="A6" s="26" t="s">
        <v>64</v>
      </c>
      <c r="B6" s="13"/>
      <c r="C6" s="17"/>
      <c r="D6" s="14"/>
      <c r="E6" s="14" t="s">
        <v>45</v>
      </c>
      <c r="H6" s="81" t="s">
        <v>35</v>
      </c>
    </row>
    <row r="7" spans="1:9" x14ac:dyDescent="0.25">
      <c r="A7" s="26" t="s">
        <v>46</v>
      </c>
      <c r="B7" s="12"/>
      <c r="C7" s="18">
        <f>IF(B7="ja",(B5/C4)*1,0)</f>
        <v>0</v>
      </c>
      <c r="D7" s="22"/>
      <c r="E7" s="22" t="s">
        <v>45</v>
      </c>
    </row>
    <row r="8" spans="1:9" x14ac:dyDescent="0.25">
      <c r="A8" s="26" t="s">
        <v>47</v>
      </c>
      <c r="B8" s="12"/>
      <c r="C8" s="18">
        <f>IF(B8="ja",(B5/C4)*1,0)</f>
        <v>0</v>
      </c>
      <c r="D8" s="15"/>
      <c r="E8" s="15" t="s">
        <v>45</v>
      </c>
    </row>
    <row r="9" spans="1:9" x14ac:dyDescent="0.25">
      <c r="A9" s="26" t="s">
        <v>48</v>
      </c>
      <c r="B9" s="14"/>
      <c r="C9" s="19">
        <f>SUM(C7:C8)+B6</f>
        <v>0</v>
      </c>
      <c r="D9" s="15"/>
      <c r="E9" s="15" t="s">
        <v>45</v>
      </c>
    </row>
    <row r="10" spans="1:9" x14ac:dyDescent="0.25">
      <c r="A10" s="26" t="s">
        <v>49</v>
      </c>
      <c r="B10" s="14"/>
      <c r="C10" s="19" t="e">
        <f>C4/B5*C9/12*C11</f>
        <v>#DIV/0!</v>
      </c>
      <c r="D10" s="15"/>
      <c r="E10" s="15" t="s">
        <v>50</v>
      </c>
    </row>
    <row r="11" spans="1:9" x14ac:dyDescent="0.25">
      <c r="A11" s="26" t="s">
        <v>51</v>
      </c>
      <c r="B11" s="14"/>
      <c r="C11" s="150">
        <v>3.18</v>
      </c>
      <c r="D11" s="15"/>
      <c r="E11" s="15" t="s">
        <v>50</v>
      </c>
    </row>
    <row r="12" spans="1:9" ht="15.75" x14ac:dyDescent="0.25">
      <c r="A12" s="26" t="s">
        <v>66</v>
      </c>
      <c r="B12" s="14"/>
      <c r="C12" s="150">
        <f>C11+0.69</f>
        <v>3.87</v>
      </c>
      <c r="D12" s="14"/>
      <c r="E12" s="15" t="s">
        <v>50</v>
      </c>
      <c r="I12" s="5"/>
    </row>
    <row r="13" spans="1:9" x14ac:dyDescent="0.25">
      <c r="A13" s="27" t="s">
        <v>52</v>
      </c>
      <c r="B13" s="15"/>
      <c r="C13" s="18"/>
      <c r="D13" s="23" t="e">
        <f>IF(C11&lt;C10,C11,C10)</f>
        <v>#DIV/0!</v>
      </c>
      <c r="E13" s="15" t="s">
        <v>50</v>
      </c>
      <c r="H13" s="6"/>
    </row>
    <row r="14" spans="1:9" ht="15.75" thickBot="1" x14ac:dyDescent="0.3">
      <c r="A14" s="28" t="s">
        <v>53</v>
      </c>
      <c r="B14" s="16"/>
      <c r="C14" s="20"/>
      <c r="D14" s="24" t="e">
        <f>IF(IF(C10-C11&gt;1.22,1.22,C10-C11)&gt;0,IF(C10-C11&gt;1.22,1.22,C10-C11),0)</f>
        <v>#DIV/0!</v>
      </c>
      <c r="E14" s="16" t="s">
        <v>50</v>
      </c>
      <c r="H14" s="7"/>
    </row>
    <row r="15" spans="1:9" x14ac:dyDescent="0.25">
      <c r="A15" s="8"/>
      <c r="B15" s="8"/>
      <c r="C15" s="8"/>
      <c r="D15" s="146"/>
      <c r="E15" s="8"/>
      <c r="H15" s="7"/>
    </row>
  </sheetData>
  <sheetProtection algorithmName="SHA-512" hashValue="TvJr5Xgh4o3icMH/pjoDcpU5QUGe0S98WQm2RbBHdqBHeYN7dL0Rrr1vDl59rWZajBQf1nFNl20IhyJ8rkkMWw==" saltValue="dgcBlkeKMqY0PvXNgnob9g==" spinCount="100000" sheet="1" objects="1" scenarios="1"/>
  <dataValidations count="1">
    <dataValidation type="list" allowBlank="1" showInputMessage="1" showErrorMessage="1" sqref="B7:B8" xr:uid="{00000000-0002-0000-0300-000000000000}">
      <formula1>$H$5:$H$6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0"/>
  <sheetViews>
    <sheetView zoomScale="160" zoomScaleNormal="160" workbookViewId="0">
      <selection activeCell="A21" sqref="A21"/>
    </sheetView>
  </sheetViews>
  <sheetFormatPr defaultColWidth="9.140625" defaultRowHeight="15" x14ac:dyDescent="0.25"/>
  <cols>
    <col min="1" max="1" width="52.85546875" style="4" bestFit="1" customWidth="1"/>
    <col min="2" max="2" width="10.42578125" style="4" bestFit="1" customWidth="1"/>
    <col min="3" max="3" width="12.42578125" style="4" customWidth="1"/>
    <col min="4" max="4" width="10.28515625" style="4" bestFit="1" customWidth="1"/>
    <col min="5" max="5" width="8.85546875" style="4" bestFit="1" customWidth="1"/>
    <col min="6" max="16384" width="9.140625" style="4"/>
  </cols>
  <sheetData>
    <row r="1" spans="1:8" ht="18.75" x14ac:dyDescent="0.3">
      <c r="A1" s="10" t="s">
        <v>54</v>
      </c>
      <c r="B1" s="3"/>
    </row>
    <row r="2" spans="1:8" ht="15.75" thickBot="1" x14ac:dyDescent="0.3">
      <c r="A2" s="3"/>
      <c r="B2" s="3"/>
    </row>
    <row r="3" spans="1:8" ht="15.75" thickBot="1" x14ac:dyDescent="0.3">
      <c r="A3" s="129" t="s">
        <v>38</v>
      </c>
      <c r="B3" s="127" t="s">
        <v>39</v>
      </c>
      <c r="C3" s="130" t="s">
        <v>40</v>
      </c>
      <c r="D3" s="127" t="s">
        <v>42</v>
      </c>
      <c r="E3" s="128" t="s">
        <v>41</v>
      </c>
    </row>
    <row r="4" spans="1:8" x14ac:dyDescent="0.25">
      <c r="A4" s="25" t="s">
        <v>7</v>
      </c>
      <c r="B4" s="11"/>
      <c r="C4" s="62">
        <v>2095</v>
      </c>
      <c r="D4" s="21"/>
      <c r="E4" s="21" t="s">
        <v>43</v>
      </c>
    </row>
    <row r="5" spans="1:8" x14ac:dyDescent="0.25">
      <c r="A5" s="26" t="s">
        <v>55</v>
      </c>
      <c r="B5" s="17"/>
      <c r="C5" s="63">
        <v>6</v>
      </c>
      <c r="D5" s="15"/>
      <c r="E5" s="15" t="s">
        <v>45</v>
      </c>
    </row>
    <row r="6" spans="1:8" x14ac:dyDescent="0.25">
      <c r="A6" s="26" t="s">
        <v>55</v>
      </c>
      <c r="B6" s="17"/>
      <c r="C6" s="63">
        <v>4</v>
      </c>
      <c r="D6" s="15"/>
      <c r="E6" s="15" t="s">
        <v>45</v>
      </c>
    </row>
    <row r="7" spans="1:8" x14ac:dyDescent="0.25">
      <c r="A7" s="26" t="s">
        <v>56</v>
      </c>
      <c r="B7" s="74"/>
      <c r="C7" s="14"/>
      <c r="D7" s="15"/>
      <c r="E7" s="15"/>
      <c r="G7" s="81">
        <v>1</v>
      </c>
    </row>
    <row r="8" spans="1:8" x14ac:dyDescent="0.25">
      <c r="A8" s="26" t="s">
        <v>68</v>
      </c>
      <c r="B8" s="74"/>
      <c r="C8" s="17"/>
      <c r="D8" s="14"/>
      <c r="E8" s="14" t="s">
        <v>43</v>
      </c>
      <c r="G8" s="81">
        <v>2</v>
      </c>
    </row>
    <row r="9" spans="1:8" x14ac:dyDescent="0.25">
      <c r="A9" s="26" t="s">
        <v>67</v>
      </c>
      <c r="B9" s="13"/>
      <c r="C9" s="17"/>
      <c r="D9" s="14"/>
      <c r="E9" s="14" t="s">
        <v>45</v>
      </c>
    </row>
    <row r="10" spans="1:8" ht="15.75" thickBot="1" x14ac:dyDescent="0.3">
      <c r="A10" s="68" t="s">
        <v>69</v>
      </c>
      <c r="B10" s="69"/>
      <c r="C10" s="70"/>
      <c r="D10" s="72" t="e">
        <f>IF(B7&lt;2,C38/38*C40/B8/4,C39/38*C40/B8/4)</f>
        <v>#DIV/0!</v>
      </c>
      <c r="E10" s="71" t="s">
        <v>50</v>
      </c>
      <c r="H10" s="73"/>
    </row>
    <row r="11" spans="1:8" ht="18.95" customHeight="1" x14ac:dyDescent="0.25">
      <c r="H11" s="73"/>
    </row>
    <row r="36" spans="1:8" hidden="1" x14ac:dyDescent="0.25">
      <c r="A36" s="26" t="s">
        <v>57</v>
      </c>
      <c r="B36" s="14"/>
      <c r="C36" s="64">
        <f>B8/C4*C5</f>
        <v>0</v>
      </c>
      <c r="D36" s="15" t="s">
        <v>45</v>
      </c>
      <c r="E36" s="15"/>
    </row>
    <row r="37" spans="1:8" hidden="1" x14ac:dyDescent="0.25">
      <c r="A37" s="26" t="s">
        <v>58</v>
      </c>
      <c r="B37" s="14"/>
      <c r="C37" s="64">
        <f>B8/C4*C6</f>
        <v>0</v>
      </c>
      <c r="D37" s="15" t="s">
        <v>45</v>
      </c>
      <c r="E37" s="15"/>
    </row>
    <row r="38" spans="1:8" hidden="1" x14ac:dyDescent="0.25">
      <c r="A38" s="26" t="s">
        <v>59</v>
      </c>
      <c r="B38" s="14"/>
      <c r="C38" s="64">
        <f>IF(B9&lt;C36,B9,C36)</f>
        <v>0</v>
      </c>
      <c r="D38" s="15" t="s">
        <v>45</v>
      </c>
      <c r="E38" s="15"/>
      <c r="H38" s="65"/>
    </row>
    <row r="39" spans="1:8" hidden="1" x14ac:dyDescent="0.25">
      <c r="A39" s="26" t="s">
        <v>60</v>
      </c>
      <c r="B39" s="14"/>
      <c r="C39" s="64">
        <f>IF(B9&lt;C37,B9,C37)</f>
        <v>0</v>
      </c>
      <c r="D39" s="15" t="s">
        <v>45</v>
      </c>
      <c r="E39" s="15"/>
      <c r="H39" s="66"/>
    </row>
    <row r="40" spans="1:8" hidden="1" x14ac:dyDescent="0.25">
      <c r="A40" s="26" t="s">
        <v>65</v>
      </c>
      <c r="B40" s="14"/>
      <c r="C40" s="145">
        <v>79898.45</v>
      </c>
      <c r="D40" s="15" t="s">
        <v>50</v>
      </c>
      <c r="E40" s="15"/>
      <c r="H40" s="67"/>
    </row>
  </sheetData>
  <sheetProtection algorithmName="SHA-512" hashValue="LKlykZZQNXMOmfs3Tv4ZrqhBq4w12wJ6pUbi5BncDyWDetxwI0yPx8QT8ZVvsqhjFHdFj7BcFV4sRUveOUejdg==" saltValue="y149pH0NqaLiaWSRBgOz1w==" spinCount="100000" sheet="1" objects="1" scenarios="1"/>
  <dataValidations count="1">
    <dataValidation type="list" allowBlank="1" showInputMessage="1" showErrorMessage="1" sqref="B7" xr:uid="{00000000-0002-0000-0400-000000000000}">
      <formula1>$G$7:$G$8</formula1>
    </dataValidation>
  </dataValidation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658DA45D6EFF44A41CD8C333143F92" ma:contentTypeVersion="11" ma:contentTypeDescription="Create a new document." ma:contentTypeScope="" ma:versionID="355aa1c1e9e84978107a8685a1181a6f">
  <xsd:schema xmlns:xsd="http://www.w3.org/2001/XMLSchema" xmlns:xs="http://www.w3.org/2001/XMLSchema" xmlns:p="http://schemas.microsoft.com/office/2006/metadata/properties" xmlns:ns3="0bfb04a8-82d5-4b7f-9121-99d839d55812" xmlns:ns4="c5ec75dc-5a90-4d0e-bfcf-039167bf0d7d" targetNamespace="http://schemas.microsoft.com/office/2006/metadata/properties" ma:root="true" ma:fieldsID="a828ee1adb76ded4dc71f559edfc57e6" ns3:_="" ns4:_="">
    <xsd:import namespace="0bfb04a8-82d5-4b7f-9121-99d839d55812"/>
    <xsd:import namespace="c5ec75dc-5a90-4d0e-bfcf-039167bf0d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fb04a8-82d5-4b7f-9121-99d839d558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c75dc-5a90-4d0e-bfcf-039167bf0d7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D88609-71B9-4D9E-9EEB-CCF4D7D514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fb04a8-82d5-4b7f-9121-99d839d55812"/>
    <ds:schemaRef ds:uri="c5ec75dc-5a90-4d0e-bfcf-039167bf0d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A80ECF-A2B2-4D85-A633-67FDFA4D1A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C592AE-6A80-4830-9E8B-940EDB954367}">
  <ds:schemaRefs>
    <ds:schemaRef ds:uri="http://purl.org/dc/dcmitype/"/>
    <ds:schemaRef ds:uri="http://purl.org/dc/terms/"/>
    <ds:schemaRef ds:uri="c5ec75dc-5a90-4d0e-bfcf-039167bf0d7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0bfb04a8-82d5-4b7f-9121-99d839d5581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POH-S</vt:lpstr>
      <vt:lpstr>Nvko</vt:lpstr>
      <vt:lpstr>Blad2</vt:lpstr>
      <vt:lpstr>POH-GGZ</vt:lpstr>
      <vt:lpstr>Praktijkmgt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Vennema, Wim</dc:creator>
  <cp:lastModifiedBy>Bos, DTR (Daniëlle)</cp:lastModifiedBy>
  <cp:lastPrinted>2021-01-18T13:11:10Z</cp:lastPrinted>
  <dcterms:created xsi:type="dcterms:W3CDTF">2018-10-16T08:19:06Z</dcterms:created>
  <dcterms:modified xsi:type="dcterms:W3CDTF">2021-01-20T14:40:48Z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0x01010083658DA45D6EFF44A41CD8C333143F92</vt:lpwstr>
  </property>
</Properties>
</file>